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840" activeTab="0"/>
  </bookViews>
  <sheets>
    <sheet name="income stat" sheetId="1" r:id="rId1"/>
    <sheet name="balance sheet" sheetId="2" r:id="rId2"/>
    <sheet name="s.equity" sheetId="3" r:id="rId3"/>
    <sheet name="cash flow" sheetId="4" r:id="rId4"/>
  </sheets>
  <externalReferences>
    <externalReference r:id="rId7"/>
    <externalReference r:id="rId8"/>
  </externalReferences>
  <definedNames>
    <definedName name="_xlnm.Print_Area" localSheetId="1">'balance sheet'!$A$1:$G$59</definedName>
    <definedName name="_xlnm.Print_Area" localSheetId="3">'cash flow'!$A$1:$G$79</definedName>
    <definedName name="_xlnm.Print_Area" localSheetId="0">'income stat'!$A$1:$K$46</definedName>
  </definedNames>
  <calcPr fullCalcOnLoad="1"/>
</workbook>
</file>

<file path=xl/sharedStrings.xml><?xml version="1.0" encoding="utf-8"?>
<sst xmlns="http://schemas.openxmlformats.org/spreadsheetml/2006/main" count="162" uniqueCount="129">
  <si>
    <t>RM'000</t>
  </si>
  <si>
    <t>Revenue</t>
  </si>
  <si>
    <t>Property,Plant and Equipment</t>
  </si>
  <si>
    <t>Investment In An Associated Company</t>
  </si>
  <si>
    <t>Investment In A Joint Venture Company</t>
  </si>
  <si>
    <t>Current Assets</t>
  </si>
  <si>
    <t xml:space="preserve">   Inventories</t>
  </si>
  <si>
    <t xml:space="preserve">   Trade receivables</t>
  </si>
  <si>
    <t xml:space="preserve">   Other receivables,deposits and prepayments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</si>
  <si>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</si>
  <si>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</si>
  <si>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</si>
  <si>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</si>
  <si>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</si>
  <si>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</si>
  <si>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 xml:space="preserve">   Taxation</t>
  </si>
  <si>
    <t>Net Current Assets</t>
  </si>
  <si>
    <t>Financed by</t>
  </si>
  <si>
    <t>Share Capital</t>
  </si>
  <si>
    <t>Reserve</t>
  </si>
  <si>
    <t xml:space="preserve">   Retained Profits</t>
  </si>
  <si>
    <t xml:space="preserve">   Share premium</t>
  </si>
  <si>
    <t>Long Term and Deferred Liabilities</t>
  </si>
  <si>
    <t xml:space="preserve">   Borrowings </t>
  </si>
  <si>
    <t xml:space="preserve">   Deferred taxation</t>
  </si>
  <si>
    <t>Net tangible assets per share  (RM)</t>
  </si>
  <si>
    <t>Operating Expenses</t>
  </si>
  <si>
    <t>Other Operating income</t>
  </si>
  <si>
    <t>Taxation</t>
  </si>
  <si>
    <t>Minority interest</t>
  </si>
  <si>
    <t>Profit from Operations</t>
  </si>
  <si>
    <t>Finance costs</t>
  </si>
  <si>
    <t>-Basic</t>
  </si>
  <si>
    <t>-Diluted</t>
  </si>
  <si>
    <t>2002</t>
  </si>
  <si>
    <t>Net Profit before tax</t>
  </si>
  <si>
    <t>Share of results of an associated company</t>
  </si>
  <si>
    <t>Share of results of a joint venture company</t>
  </si>
  <si>
    <t>Depreciation of property,plant equipment</t>
  </si>
  <si>
    <t>Interest expense</t>
  </si>
  <si>
    <t>Interest income</t>
  </si>
  <si>
    <t>Unrealised loss on foreign exchange</t>
  </si>
  <si>
    <t>Increase in trade receivables</t>
  </si>
  <si>
    <t>Decrease in other payables and accruals</t>
  </si>
  <si>
    <t>Interest paid</t>
  </si>
  <si>
    <t>Tax paid</t>
  </si>
  <si>
    <t>CASH FLOWS FROM INVESTING ACTIVITIES</t>
  </si>
  <si>
    <t>CASH FLOWS FROM OPERATING ACTIVITIES</t>
  </si>
  <si>
    <t>Dividend received</t>
  </si>
  <si>
    <t>Interest received</t>
  </si>
  <si>
    <t>Purchase of property,plant and equipment</t>
  </si>
  <si>
    <t>CASH FLOWS FROM FINANCING ACTIVITIES</t>
  </si>
  <si>
    <t>Payment of share issue expenses</t>
  </si>
  <si>
    <t>Payment of term loan interest</t>
  </si>
  <si>
    <t>Increase in short term borrowings</t>
  </si>
  <si>
    <t>Net cash from financing activities</t>
  </si>
  <si>
    <t>Net increase in cash and cash equivalents</t>
  </si>
  <si>
    <t>Property,plant and equipment written off</t>
  </si>
  <si>
    <t>Allowance for slow moving inventories</t>
  </si>
  <si>
    <t xml:space="preserve"> written back</t>
  </si>
  <si>
    <t>Additional investment in a joint venture</t>
  </si>
  <si>
    <t xml:space="preserve"> company</t>
  </si>
  <si>
    <t>Advances to a joint venture company</t>
  </si>
  <si>
    <t>Proceed from issue of shares</t>
  </si>
  <si>
    <t>Repayment from a former corporate shareholder</t>
  </si>
  <si>
    <t xml:space="preserve"> of a subsidiary company</t>
  </si>
  <si>
    <t>Repayment of term loan</t>
  </si>
  <si>
    <t>Dividend paid to the former shareholders of</t>
  </si>
  <si>
    <t xml:space="preserve"> the subsidiary companies</t>
  </si>
  <si>
    <t xml:space="preserve">Retained </t>
  </si>
  <si>
    <t>profits</t>
  </si>
  <si>
    <t xml:space="preserve">Share </t>
  </si>
  <si>
    <t>premium</t>
  </si>
  <si>
    <t>Total</t>
  </si>
  <si>
    <t>ACOUSTECH BERHAD (496665-W)</t>
  </si>
  <si>
    <t>(The firgures have not been audited)</t>
  </si>
  <si>
    <t>30-9-2002</t>
  </si>
  <si>
    <t>31-3-2002</t>
  </si>
  <si>
    <t>Shareholders' Fund</t>
  </si>
  <si>
    <t>Individual Quarter</t>
  </si>
  <si>
    <t>Current</t>
  </si>
  <si>
    <t>Quarter</t>
  </si>
  <si>
    <t>Ended</t>
  </si>
  <si>
    <t xml:space="preserve">Corresponding </t>
  </si>
  <si>
    <t xml:space="preserve">Quarter </t>
  </si>
  <si>
    <t>30-9-2001</t>
  </si>
  <si>
    <t>Cumulative Quarter</t>
  </si>
  <si>
    <t>6 months</t>
  </si>
  <si>
    <t xml:space="preserve">Cumulative </t>
  </si>
  <si>
    <t>To Date</t>
  </si>
  <si>
    <t>Cumulative</t>
  </si>
  <si>
    <t>To date</t>
  </si>
  <si>
    <t>6 months quarter ended 30 September 2002</t>
  </si>
  <si>
    <t>Balance as at 31 March 2002</t>
  </si>
  <si>
    <t>capital</t>
  </si>
  <si>
    <t>Balance as at 30 September 2002</t>
  </si>
  <si>
    <t xml:space="preserve">   Amount owning by a joint venture company</t>
  </si>
  <si>
    <t>The Condensed Consolidated Income Statement should be read in conjunction with the Annual</t>
  </si>
  <si>
    <t>Financial Report for the Year Ended 31 March 2002.</t>
  </si>
  <si>
    <t>The Condensed Consolidated Balance Sheet should be read in conjunction with the Annual</t>
  </si>
  <si>
    <t>The Condensed Consolidated Statement of Changes in Equity should be read in conjunction with the</t>
  </si>
  <si>
    <t xml:space="preserve"> Annual Financial Report for the Year ended 31 March 2002</t>
  </si>
  <si>
    <t>Net profit for the period</t>
  </si>
  <si>
    <t>The Condensed Consolidated Cash Flow Statement should be read in conjunction with the Annual</t>
  </si>
  <si>
    <t>N/A</t>
  </si>
  <si>
    <t>Earning per share (sen)</t>
  </si>
  <si>
    <t>Increase in inventories</t>
  </si>
  <si>
    <t>Increase in trade payables</t>
  </si>
  <si>
    <t xml:space="preserve">   Amount owning to a joint venture company</t>
  </si>
  <si>
    <t xml:space="preserve">   Short term borrowings</t>
  </si>
  <si>
    <t>Adjustments for:-</t>
  </si>
  <si>
    <t>Increase in other receivables,deposits and prepayments</t>
  </si>
  <si>
    <t>Loss on disposal pf property,plant and equipment</t>
  </si>
  <si>
    <t>Decrease in amount owing to a joint venture company</t>
  </si>
  <si>
    <t>Cash generated from operations</t>
  </si>
  <si>
    <t>Operating profit before working capital changes</t>
  </si>
  <si>
    <t>Net cash from operating activities</t>
  </si>
  <si>
    <t>Proceed from disposal of property,plant and equipment</t>
  </si>
  <si>
    <t>Net cash used in investing activities</t>
  </si>
  <si>
    <t>Cash and cash equivalents at beginning of financial period</t>
  </si>
  <si>
    <t>Cash and cash equivalents at end of financial period</t>
  </si>
  <si>
    <t>Interim report for the second financial quarter ended 30 September 2002</t>
  </si>
  <si>
    <t>CONDENSED CONSOLIDATED INCOME STATEMENTS</t>
  </si>
  <si>
    <t xml:space="preserve">Profit before income tax </t>
  </si>
  <si>
    <t>Profit after taxation</t>
  </si>
  <si>
    <t>CONDENSED CONSOLIDATED BALANCE SHEETS</t>
  </si>
  <si>
    <t>CONDENSED CONSOLIDATED STATEMENT OF CHANGES IN EQUITY</t>
  </si>
  <si>
    <t>Net profit for the 6 months period</t>
  </si>
  <si>
    <t>CONSOLIDATED CASH FLOW STATEMENT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</si>
</sst>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64" fontId="2" fillId="0" borderId="0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 quotePrefix="1">
      <alignment horizontal="center"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15" applyFont="1" applyBorder="1" applyAlignment="1">
      <alignment horizontal="center"/>
    </xf>
    <xf numFmtId="164" fontId="2" fillId="0" borderId="0" xfId="15" applyNumberFormat="1" applyFont="1" applyBorder="1" applyAlignment="1" quotePrefix="1">
      <alignment horizontal="left"/>
    </xf>
    <xf numFmtId="0" fontId="2" fillId="0" borderId="0" xfId="0" applyFont="1" applyAlignment="1">
      <alignment horizontal="left"/>
    </xf>
    <xf numFmtId="43" fontId="2" fillId="0" borderId="7" xfId="15" applyFont="1" applyBorder="1" applyAlignment="1">
      <alignment/>
    </xf>
    <xf numFmtId="0" fontId="1" fillId="0" borderId="0" xfId="0" applyFont="1" applyAlignment="1" quotePrefix="1">
      <alignment horizontal="center"/>
    </xf>
    <xf numFmtId="164" fontId="1" fillId="0" borderId="0" xfId="15" applyNumberFormat="1" applyFont="1" applyBorder="1" applyAlignment="1">
      <alignment horizontal="center"/>
    </xf>
    <xf numFmtId="43" fontId="2" fillId="0" borderId="7" xfId="15" applyNumberFormat="1" applyFont="1" applyBorder="1" applyAlignment="1">
      <alignment horizontal="right"/>
    </xf>
    <xf numFmtId="167" fontId="2" fillId="0" borderId="0" xfId="15" applyNumberFormat="1" applyFont="1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0" fontId="1" fillId="0" borderId="0" xfId="0" applyFont="1" applyAlignment="1">
      <alignment horizontal="left"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nsolidated%20Account-Acoustech\Consolidated%20Account-First%20Quarter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oustech-Quarterly%20report\Copy%20of%20Consolidated%20Account-2nd%20Quarter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V"/>
      <sheetName val="ASSOC"/>
      <sheetName val="CONSOL ADJ"/>
      <sheetName val="CONSOL-BS"/>
      <sheetName val="CONSOL-IS"/>
      <sheetName val="FPT-PL-6'2002"/>
      <sheetName val="FPT-BS-6'2002"/>
      <sheetName val="FPC-PL-6'2002"/>
      <sheetName val="FPC-BS-6'2002"/>
      <sheetName val="HOT-PL-6'2002"/>
      <sheetName val="HOT-BS-6'2002"/>
      <sheetName val="ACOU-PL-6'2002"/>
      <sheetName val="ACOU-BS-6'2002"/>
    </sheetNames>
    <sheetDataSet>
      <sheetData sheetId="3">
        <row r="60">
          <cell r="U60">
            <v>77999999.6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V"/>
      <sheetName val="ASSOC"/>
      <sheetName val="CONSOL ADJ"/>
      <sheetName val="CONSOL-BS"/>
      <sheetName val="CONSOL-IS"/>
      <sheetName val="CONSOL-CF"/>
      <sheetName val="FPT-PL-9'2002"/>
      <sheetName val="FPT-BS-9'2002"/>
      <sheetName val="FPC-PL-9'2002"/>
      <sheetName val="FPC-BS-9'2002"/>
      <sheetName val="HOT-PL-9'2002"/>
      <sheetName val="HOT-BS-9'2002"/>
      <sheetName val="ACOU-PL-9'2002"/>
      <sheetName val="ACOU-BS-9'2002"/>
      <sheetName val="ACOU-BS6'2002"/>
      <sheetName val="ACOUS-PL6'2002"/>
    </sheetNames>
    <sheetDataSet>
      <sheetData sheetId="3">
        <row r="12">
          <cell r="U12">
            <v>36967271.29</v>
          </cell>
        </row>
        <row r="17">
          <cell r="U17">
            <v>3836456</v>
          </cell>
        </row>
        <row r="20">
          <cell r="U20">
            <v>2145032</v>
          </cell>
        </row>
        <row r="24">
          <cell r="U24">
            <v>13756186.4</v>
          </cell>
        </row>
        <row r="25">
          <cell r="U25">
            <v>93268733.85</v>
          </cell>
        </row>
        <row r="26">
          <cell r="U26">
            <v>3558861.710000001</v>
          </cell>
        </row>
        <row r="30">
          <cell r="U30">
            <v>1069897.12</v>
          </cell>
        </row>
        <row r="32">
          <cell r="U32">
            <v>2047700.35</v>
          </cell>
        </row>
        <row r="38">
          <cell r="U38">
            <v>12467116.95</v>
          </cell>
        </row>
        <row r="39">
          <cell r="U39">
            <v>8030130.96</v>
          </cell>
        </row>
        <row r="44">
          <cell r="U44">
            <v>21126045.22</v>
          </cell>
        </row>
        <row r="45">
          <cell r="U45">
            <v>1122253.89</v>
          </cell>
        </row>
        <row r="47">
          <cell r="U47">
            <v>310333</v>
          </cell>
        </row>
        <row r="54">
          <cell r="U54">
            <v>26749536</v>
          </cell>
        </row>
        <row r="66">
          <cell r="U66">
            <v>4700642.56</v>
          </cell>
        </row>
        <row r="70">
          <cell r="U70">
            <v>40353935.974000014</v>
          </cell>
        </row>
        <row r="76">
          <cell r="U76">
            <v>3410640.58</v>
          </cell>
        </row>
        <row r="77">
          <cell r="U77">
            <v>1374000</v>
          </cell>
        </row>
      </sheetData>
      <sheetData sheetId="4">
        <row r="9">
          <cell r="U9">
            <v>56413237.52</v>
          </cell>
        </row>
        <row r="22">
          <cell r="U22">
            <v>960527.2600000001</v>
          </cell>
        </row>
        <row r="23">
          <cell r="U23">
            <v>1365084.81</v>
          </cell>
        </row>
        <row r="24">
          <cell r="U24">
            <v>256755.526</v>
          </cell>
        </row>
        <row r="26">
          <cell r="U26">
            <v>305345.38</v>
          </cell>
        </row>
        <row r="40">
          <cell r="U40">
            <v>241177.66999999998</v>
          </cell>
        </row>
        <row r="42">
          <cell r="U42">
            <v>122093</v>
          </cell>
        </row>
        <row r="44">
          <cell r="U44">
            <v>6204</v>
          </cell>
        </row>
        <row r="46">
          <cell r="U46">
            <v>4151367.8640000164</v>
          </cell>
        </row>
        <row r="54">
          <cell r="U54">
            <v>-1124651</v>
          </cell>
        </row>
      </sheetData>
      <sheetData sheetId="5">
        <row r="10">
          <cell r="V10">
            <v>8139248.864000011</v>
          </cell>
        </row>
        <row r="14">
          <cell r="V14">
            <v>1320815</v>
          </cell>
        </row>
        <row r="18">
          <cell r="V18">
            <v>586217</v>
          </cell>
        </row>
        <row r="20">
          <cell r="V20">
            <v>-354909</v>
          </cell>
        </row>
        <row r="21">
          <cell r="V21">
            <v>-3776</v>
          </cell>
        </row>
        <row r="22">
          <cell r="V22">
            <v>-66650</v>
          </cell>
        </row>
        <row r="24">
          <cell r="V24">
            <v>31070</v>
          </cell>
        </row>
        <row r="26">
          <cell r="V26">
            <v>340525</v>
          </cell>
        </row>
        <row r="30">
          <cell r="V30">
            <v>-1930653</v>
          </cell>
        </row>
        <row r="31">
          <cell r="V31">
            <v>-4658975</v>
          </cell>
        </row>
        <row r="32">
          <cell r="V32">
            <v>-410831</v>
          </cell>
        </row>
        <row r="33">
          <cell r="V33">
            <v>3402992</v>
          </cell>
        </row>
        <row r="34">
          <cell r="V34">
            <v>-43126</v>
          </cell>
        </row>
        <row r="36">
          <cell r="V36">
            <v>-343263</v>
          </cell>
        </row>
        <row r="40">
          <cell r="V40">
            <v>-366379</v>
          </cell>
        </row>
        <row r="41">
          <cell r="V41">
            <v>-2247076</v>
          </cell>
        </row>
        <row r="50">
          <cell r="V50">
            <v>66650</v>
          </cell>
        </row>
        <row r="53">
          <cell r="V53">
            <v>88000</v>
          </cell>
        </row>
        <row r="55">
          <cell r="V55">
            <v>-7676223</v>
          </cell>
        </row>
        <row r="65">
          <cell r="V65">
            <v>5815000.42</v>
          </cell>
        </row>
        <row r="70">
          <cell r="V70">
            <v>-639952.3500000001</v>
          </cell>
        </row>
        <row r="78">
          <cell r="V78">
            <v>-688302.4199999999</v>
          </cell>
        </row>
        <row r="79">
          <cell r="V79">
            <v>-219838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3"/>
  <sheetViews>
    <sheetView tabSelected="1" workbookViewId="0" topLeftCell="A2">
      <selection activeCell="A1" sqref="A1"/>
    </sheetView>
  </sheetViews>
  <sheetFormatPr defaultColWidth="9.140625" defaultRowHeight="12.75"/>
  <cols>
    <col min="1" max="1" width="3.00390625" style="2" customWidth="1"/>
    <col min="2" max="2" width="35.7109375" style="2" customWidth="1"/>
    <col min="3" max="3" width="0.5625" style="2" customWidth="1"/>
    <col min="4" max="4" width="12.7109375" style="3" customWidth="1"/>
    <col min="5" max="5" width="0.85546875" style="2" customWidth="1"/>
    <col min="6" max="6" width="12.7109375" style="3" customWidth="1"/>
    <col min="7" max="7" width="0.85546875" style="2" customWidth="1"/>
    <col min="8" max="8" width="12.7109375" style="2" customWidth="1"/>
    <col min="9" max="9" width="0.85546875" style="2" customWidth="1"/>
    <col min="10" max="10" width="12.7109375" style="3" customWidth="1"/>
    <col min="11" max="11" width="0.85546875" style="2" customWidth="1"/>
    <col min="12" max="16384" width="9.140625" style="2" customWidth="1"/>
  </cols>
  <sheetData>
    <row r="1" ht="12.75" hidden="1">
      <c r="A1" s="22" t="s">
        <v>74</v>
      </c>
    </row>
    <row r="3" ht="12.75">
      <c r="A3" s="36" t="s">
        <v>121</v>
      </c>
    </row>
    <row r="4" ht="12.75">
      <c r="A4" s="1" t="s">
        <v>75</v>
      </c>
    </row>
    <row r="5" spans="4:8" ht="12.75">
      <c r="D5" s="4"/>
      <c r="H5" s="5"/>
    </row>
    <row r="6" spans="1:8" ht="12.75">
      <c r="A6" s="36" t="s">
        <v>122</v>
      </c>
      <c r="D6" s="4"/>
      <c r="H6" s="5"/>
    </row>
    <row r="7" spans="4:8" ht="12.75">
      <c r="D7" s="4"/>
      <c r="H7" s="5"/>
    </row>
    <row r="8" spans="4:10" ht="12.75">
      <c r="D8" s="37" t="s">
        <v>79</v>
      </c>
      <c r="E8" s="37"/>
      <c r="F8" s="37"/>
      <c r="G8" s="1"/>
      <c r="H8" s="38" t="s">
        <v>86</v>
      </c>
      <c r="I8" s="38"/>
      <c r="J8" s="38"/>
    </row>
    <row r="9" spans="4:10" ht="12.75">
      <c r="D9" s="13" t="s">
        <v>80</v>
      </c>
      <c r="E9" s="14"/>
      <c r="F9" s="13" t="s">
        <v>83</v>
      </c>
      <c r="G9" s="14"/>
      <c r="H9" s="30" t="s">
        <v>87</v>
      </c>
      <c r="I9" s="14"/>
      <c r="J9" s="15" t="s">
        <v>87</v>
      </c>
    </row>
    <row r="10" spans="4:10" ht="12.75">
      <c r="D10" s="13" t="s">
        <v>81</v>
      </c>
      <c r="E10" s="14"/>
      <c r="F10" s="13" t="s">
        <v>84</v>
      </c>
      <c r="G10" s="14"/>
      <c r="H10" s="30" t="s">
        <v>88</v>
      </c>
      <c r="I10" s="14"/>
      <c r="J10" s="13" t="s">
        <v>90</v>
      </c>
    </row>
    <row r="11" spans="4:10" ht="12.75">
      <c r="D11" s="13" t="s">
        <v>82</v>
      </c>
      <c r="E11" s="14"/>
      <c r="F11" s="13" t="s">
        <v>82</v>
      </c>
      <c r="G11" s="14"/>
      <c r="H11" s="14" t="s">
        <v>89</v>
      </c>
      <c r="I11" s="14"/>
      <c r="J11" s="13" t="s">
        <v>91</v>
      </c>
    </row>
    <row r="12" spans="4:10" ht="12.75">
      <c r="D12" s="15" t="s">
        <v>76</v>
      </c>
      <c r="E12" s="14"/>
      <c r="F12" s="15" t="s">
        <v>85</v>
      </c>
      <c r="G12" s="14"/>
      <c r="H12" s="30" t="s">
        <v>76</v>
      </c>
      <c r="I12" s="14"/>
      <c r="J12" s="15" t="s">
        <v>85</v>
      </c>
    </row>
    <row r="13" spans="4:10" ht="12.75">
      <c r="D13" s="13" t="s">
        <v>0</v>
      </c>
      <c r="E13" s="14"/>
      <c r="F13" s="13" t="s">
        <v>0</v>
      </c>
      <c r="G13" s="14"/>
      <c r="H13" s="13" t="s">
        <v>0</v>
      </c>
      <c r="I13" s="14"/>
      <c r="J13" s="13" t="s">
        <v>0</v>
      </c>
    </row>
    <row r="14" spans="4:10" ht="12.75">
      <c r="D14" s="6"/>
      <c r="E14" s="7"/>
      <c r="F14" s="6"/>
      <c r="G14" s="7"/>
      <c r="H14" s="7"/>
      <c r="I14" s="7"/>
      <c r="J14" s="6"/>
    </row>
    <row r="15" spans="2:10" ht="12.75">
      <c r="B15" s="2" t="s">
        <v>1</v>
      </c>
      <c r="D15" s="12">
        <f>+'[2]CONSOL-IS'!$U$9/1000</f>
        <v>56413.23752</v>
      </c>
      <c r="E15" s="24"/>
      <c r="F15" s="12">
        <v>49254</v>
      </c>
      <c r="G15" s="24"/>
      <c r="H15" s="12">
        <f>42831876/1000+D15</f>
        <v>99245.11352</v>
      </c>
      <c r="I15" s="24"/>
      <c r="J15" s="12">
        <v>87952</v>
      </c>
    </row>
    <row r="16" spans="4:10" ht="12.75">
      <c r="D16" s="9"/>
      <c r="E16" s="25"/>
      <c r="F16" s="9"/>
      <c r="G16" s="25"/>
      <c r="H16" s="9"/>
      <c r="I16" s="25"/>
      <c r="J16" s="9"/>
    </row>
    <row r="17" spans="2:10" ht="12.75">
      <c r="B17" s="2" t="s">
        <v>26</v>
      </c>
      <c r="D17" s="27">
        <f>(-'[2]CONSOL-IS'!$U$22-'[2]CONSOL-IS'!$U$23-'[2]CONSOL-IS'!$U$24)/1000</f>
        <v>-2582.3675960000005</v>
      </c>
      <c r="E17" s="25"/>
      <c r="F17" s="27">
        <v>-2458</v>
      </c>
      <c r="G17" s="25"/>
      <c r="H17" s="12">
        <f>+(-977375-1071299-173664)/1000+D17</f>
        <v>-4804.705596000001</v>
      </c>
      <c r="I17" s="25"/>
      <c r="J17" s="27">
        <v>-4960</v>
      </c>
    </row>
    <row r="18" spans="4:10" ht="12.75">
      <c r="D18" s="9"/>
      <c r="E18" s="25"/>
      <c r="F18" s="9"/>
      <c r="G18" s="25"/>
      <c r="H18" s="9"/>
      <c r="I18" s="25"/>
      <c r="J18" s="9"/>
    </row>
    <row r="19" spans="1:10" ht="12.75">
      <c r="A19" s="8"/>
      <c r="B19" s="2" t="s">
        <v>27</v>
      </c>
      <c r="D19" s="10">
        <f>+'[2]CONSOL-IS'!$U$40/1000</f>
        <v>241.17766999999998</v>
      </c>
      <c r="E19" s="25"/>
      <c r="F19" s="10">
        <v>271</v>
      </c>
      <c r="G19" s="25"/>
      <c r="H19" s="11">
        <f>498772/1000+D19</f>
        <v>739.94967</v>
      </c>
      <c r="I19" s="25"/>
      <c r="J19" s="10">
        <v>534</v>
      </c>
    </row>
    <row r="20" spans="4:10" ht="12.75">
      <c r="D20" s="9"/>
      <c r="F20" s="9"/>
      <c r="H20" s="3"/>
      <c r="J20" s="9"/>
    </row>
    <row r="21" spans="2:10" ht="12.75">
      <c r="B21" s="28" t="s">
        <v>30</v>
      </c>
      <c r="D21" s="9">
        <f>+D29-D23-D25-D27</f>
        <v>4328.416244000016</v>
      </c>
      <c r="F21" s="9">
        <f>+F29-F23-F25-F27</f>
        <v>4612</v>
      </c>
      <c r="H21" s="9">
        <f>+H29-H23-H25-H27</f>
        <v>8376.933244000016</v>
      </c>
      <c r="J21" s="9">
        <f>+J29-J23-J25-J27</f>
        <v>7590</v>
      </c>
    </row>
    <row r="22" spans="4:10" ht="12.75">
      <c r="D22" s="9"/>
      <c r="F22" s="9"/>
      <c r="H22" s="3"/>
      <c r="J22" s="9"/>
    </row>
    <row r="23" spans="2:59" ht="12.75">
      <c r="B23" s="23" t="s">
        <v>31</v>
      </c>
      <c r="D23" s="9">
        <f>-'[2]CONSOL-IS'!$U$26/1000</f>
        <v>-305.34538</v>
      </c>
      <c r="E23" s="25"/>
      <c r="F23" s="9">
        <v>-376</v>
      </c>
      <c r="G23" s="25"/>
      <c r="H23" s="12">
        <f>-291024/1000+D23</f>
        <v>-596.36938</v>
      </c>
      <c r="I23" s="25"/>
      <c r="J23" s="9">
        <v>-696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</row>
    <row r="24" spans="4:59" ht="12.75">
      <c r="D24" s="9"/>
      <c r="E24" s="25"/>
      <c r="F24" s="9"/>
      <c r="G24" s="25"/>
      <c r="H24" s="9"/>
      <c r="I24" s="25"/>
      <c r="J24" s="9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</row>
    <row r="25" spans="1:59" ht="12.75">
      <c r="A25" s="8"/>
      <c r="B25" s="23" t="s">
        <v>36</v>
      </c>
      <c r="D25" s="9">
        <f>+'[2]CONSOL-IS'!$U$42/1000</f>
        <v>122.093</v>
      </c>
      <c r="E25" s="25"/>
      <c r="F25" s="9">
        <v>-27</v>
      </c>
      <c r="G25" s="25"/>
      <c r="H25" s="12">
        <f>232816/1000+D25</f>
        <v>354.909</v>
      </c>
      <c r="I25" s="25"/>
      <c r="J25" s="9">
        <v>-53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</row>
    <row r="26" spans="4:59" ht="12.75">
      <c r="D26" s="9"/>
      <c r="E26" s="25"/>
      <c r="F26" s="9"/>
      <c r="G26" s="25"/>
      <c r="H26" s="9"/>
      <c r="I26" s="25"/>
      <c r="J26" s="9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</row>
    <row r="27" spans="2:59" ht="12.75">
      <c r="B27" s="23" t="s">
        <v>37</v>
      </c>
      <c r="D27" s="10">
        <f>+'[2]CONSOL-IS'!$U$44/1000</f>
        <v>6.204</v>
      </c>
      <c r="E27" s="25"/>
      <c r="F27" s="10">
        <v>104</v>
      </c>
      <c r="G27" s="25"/>
      <c r="H27" s="11">
        <f>-2.428+D27</f>
        <v>3.776</v>
      </c>
      <c r="I27" s="25"/>
      <c r="J27" s="10">
        <v>269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</row>
    <row r="28" spans="4:59" ht="12.75">
      <c r="D28" s="9"/>
      <c r="E28" s="25"/>
      <c r="F28" s="9"/>
      <c r="G28" s="25"/>
      <c r="H28" s="9"/>
      <c r="I28" s="25"/>
      <c r="J28" s="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</row>
    <row r="29" spans="2:59" ht="12.75">
      <c r="B29" s="23" t="s">
        <v>123</v>
      </c>
      <c r="D29" s="9">
        <f>+'[2]CONSOL-IS'!$U$46/1000</f>
        <v>4151.367864000016</v>
      </c>
      <c r="E29" s="25"/>
      <c r="F29" s="9">
        <v>4313</v>
      </c>
      <c r="G29" s="25"/>
      <c r="H29" s="9">
        <f>3987881/1000+D29</f>
        <v>8139.248864000016</v>
      </c>
      <c r="I29" s="25"/>
      <c r="J29" s="9">
        <v>7110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</row>
    <row r="30" spans="4:59" ht="12.75">
      <c r="D30" s="9"/>
      <c r="E30" s="25"/>
      <c r="F30" s="9"/>
      <c r="G30" s="25"/>
      <c r="H30" s="12"/>
      <c r="I30" s="25"/>
      <c r="J30" s="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</row>
    <row r="31" spans="2:10" ht="12.75">
      <c r="B31" s="2" t="s">
        <v>28</v>
      </c>
      <c r="D31" s="10">
        <f>+'[2]CONSOL-IS'!$U$54/1000</f>
        <v>-1124.651</v>
      </c>
      <c r="F31" s="10">
        <v>-1208</v>
      </c>
      <c r="H31" s="10">
        <f>-977938/1000+D31</f>
        <v>-2102.589</v>
      </c>
      <c r="J31" s="10">
        <v>-1930</v>
      </c>
    </row>
    <row r="32" spans="4:10" ht="12.75">
      <c r="D32" s="9"/>
      <c r="E32" s="25"/>
      <c r="F32" s="9"/>
      <c r="G32" s="25"/>
      <c r="H32" s="12"/>
      <c r="I32" s="25"/>
      <c r="J32" s="9"/>
    </row>
    <row r="33" spans="2:10" ht="12.75">
      <c r="B33" s="23" t="s">
        <v>124</v>
      </c>
      <c r="D33" s="9">
        <f>+D29+D31</f>
        <v>3026.7168640000164</v>
      </c>
      <c r="E33" s="25"/>
      <c r="F33" s="9">
        <f>+F29+F31</f>
        <v>3105</v>
      </c>
      <c r="G33" s="25"/>
      <c r="H33" s="9">
        <f>+H29+H31</f>
        <v>6036.659864000016</v>
      </c>
      <c r="I33" s="25"/>
      <c r="J33" s="9">
        <f>+J29+J31</f>
        <v>5180</v>
      </c>
    </row>
    <row r="34" spans="4:10" ht="12.75">
      <c r="D34" s="9"/>
      <c r="E34" s="25"/>
      <c r="F34" s="9"/>
      <c r="G34" s="25"/>
      <c r="H34" s="12"/>
      <c r="I34" s="25"/>
      <c r="J34" s="9"/>
    </row>
    <row r="35" spans="2:10" ht="12.75">
      <c r="B35" s="2" t="s">
        <v>29</v>
      </c>
      <c r="D35" s="10">
        <v>0</v>
      </c>
      <c r="E35" s="25"/>
      <c r="F35" s="10">
        <v>0</v>
      </c>
      <c r="G35" s="25"/>
      <c r="H35" s="10">
        <v>0</v>
      </c>
      <c r="I35" s="25"/>
      <c r="J35" s="10">
        <v>0</v>
      </c>
    </row>
    <row r="36" spans="4:10" ht="12.75">
      <c r="D36" s="9"/>
      <c r="E36" s="25"/>
      <c r="F36" s="9"/>
      <c r="G36" s="25"/>
      <c r="H36" s="9"/>
      <c r="I36" s="25"/>
      <c r="J36" s="9"/>
    </row>
    <row r="37" spans="1:10" ht="12.75">
      <c r="A37" s="23"/>
      <c r="B37" s="2" t="s">
        <v>102</v>
      </c>
      <c r="D37" s="10">
        <f>+D33+D35</f>
        <v>3026.7168640000164</v>
      </c>
      <c r="E37" s="25"/>
      <c r="F37" s="10">
        <f>+F33+F35</f>
        <v>3105</v>
      </c>
      <c r="G37" s="25"/>
      <c r="H37" s="11">
        <f>+H33</f>
        <v>6036.659864000016</v>
      </c>
      <c r="I37" s="25"/>
      <c r="J37" s="10">
        <f>+J33+J35</f>
        <v>5180</v>
      </c>
    </row>
    <row r="38" spans="4:10" ht="12.75">
      <c r="D38" s="9"/>
      <c r="E38" s="25"/>
      <c r="F38" s="9"/>
      <c r="G38" s="25"/>
      <c r="H38" s="9"/>
      <c r="I38" s="25"/>
      <c r="J38" s="9"/>
    </row>
    <row r="39" spans="2:10" ht="12.75">
      <c r="B39" s="2" t="s">
        <v>105</v>
      </c>
      <c r="D39" s="9"/>
      <c r="E39" s="25"/>
      <c r="F39" s="9"/>
      <c r="G39" s="25"/>
      <c r="H39" s="9"/>
      <c r="I39" s="25"/>
      <c r="J39" s="9"/>
    </row>
    <row r="40" spans="4:10" ht="4.5" customHeight="1">
      <c r="D40" s="9"/>
      <c r="E40" s="25"/>
      <c r="F40" s="9"/>
      <c r="G40" s="25"/>
      <c r="H40" s="9"/>
      <c r="I40" s="25"/>
      <c r="J40" s="9"/>
    </row>
    <row r="41" spans="2:10" ht="13.5" thickBot="1">
      <c r="B41" s="23" t="s">
        <v>32</v>
      </c>
      <c r="D41" s="29">
        <f>+D37/78000*100</f>
        <v>3.8804062358974565</v>
      </c>
      <c r="E41" s="25"/>
      <c r="F41" s="29">
        <f>+F37/66000*100</f>
        <v>4.704545454545454</v>
      </c>
      <c r="G41" s="25"/>
      <c r="H41" s="29">
        <f>+H37/78000*100</f>
        <v>7.739307517948737</v>
      </c>
      <c r="I41" s="25"/>
      <c r="J41" s="29">
        <f>+J37/66000*100</f>
        <v>7.8484848484848495</v>
      </c>
    </row>
    <row r="42" spans="4:10" ht="6" customHeight="1">
      <c r="D42" s="9"/>
      <c r="E42" s="25"/>
      <c r="F42" s="9"/>
      <c r="G42" s="25"/>
      <c r="H42" s="9"/>
      <c r="I42" s="25"/>
      <c r="J42" s="9"/>
    </row>
    <row r="43" spans="2:10" ht="13.5" thickBot="1">
      <c r="B43" s="23" t="s">
        <v>33</v>
      </c>
      <c r="D43" s="32" t="s">
        <v>104</v>
      </c>
      <c r="E43" s="25"/>
      <c r="F43" s="32" t="s">
        <v>104</v>
      </c>
      <c r="G43" s="25"/>
      <c r="H43" s="32" t="s">
        <v>104</v>
      </c>
      <c r="I43" s="25"/>
      <c r="J43" s="32" t="s">
        <v>104</v>
      </c>
    </row>
    <row r="44" spans="4:10" ht="12.75">
      <c r="D44" s="9"/>
      <c r="E44" s="25"/>
      <c r="F44" s="9"/>
      <c r="G44" s="25"/>
      <c r="H44" s="9"/>
      <c r="I44" s="25"/>
      <c r="J44" s="9"/>
    </row>
    <row r="45" spans="1:10" ht="12.75">
      <c r="A45" s="1" t="s">
        <v>97</v>
      </c>
      <c r="D45" s="9"/>
      <c r="E45" s="25"/>
      <c r="F45" s="9"/>
      <c r="G45" s="25"/>
      <c r="H45" s="9"/>
      <c r="I45" s="25"/>
      <c r="J45" s="9"/>
    </row>
    <row r="46" spans="1:10" ht="12.75">
      <c r="A46" s="1" t="s">
        <v>98</v>
      </c>
      <c r="D46" s="26"/>
      <c r="E46" s="25"/>
      <c r="F46" s="12"/>
      <c r="G46" s="25"/>
      <c r="H46" s="26"/>
      <c r="I46" s="25"/>
      <c r="J46" s="12"/>
    </row>
    <row r="47" spans="4:10" ht="12.75">
      <c r="D47" s="9"/>
      <c r="E47" s="25"/>
      <c r="F47" s="9"/>
      <c r="G47" s="25"/>
      <c r="H47" s="9"/>
      <c r="I47" s="25"/>
      <c r="J47" s="9"/>
    </row>
    <row r="48" spans="4:10" ht="12.75">
      <c r="D48" s="9"/>
      <c r="E48" s="25"/>
      <c r="F48" s="9"/>
      <c r="G48" s="25"/>
      <c r="H48" s="9"/>
      <c r="I48" s="25"/>
      <c r="J48" s="9"/>
    </row>
    <row r="49" spans="4:10" ht="12.75">
      <c r="D49" s="9"/>
      <c r="E49" s="25"/>
      <c r="F49" s="9"/>
      <c r="G49" s="25"/>
      <c r="H49" s="9"/>
      <c r="I49" s="25"/>
      <c r="J49" s="9"/>
    </row>
    <row r="50" spans="4:10" ht="12.75">
      <c r="D50" s="9"/>
      <c r="E50" s="25"/>
      <c r="F50" s="9"/>
      <c r="G50" s="25"/>
      <c r="H50" s="25"/>
      <c r="I50" s="25"/>
      <c r="J50" s="9"/>
    </row>
    <row r="51" spans="4:10" ht="12.75">
      <c r="D51" s="9"/>
      <c r="E51" s="25"/>
      <c r="F51" s="9"/>
      <c r="G51" s="25"/>
      <c r="H51" s="9"/>
      <c r="I51" s="25"/>
      <c r="J51" s="9"/>
    </row>
    <row r="52" spans="4:10" ht="12.75">
      <c r="D52" s="9"/>
      <c r="E52" s="25"/>
      <c r="F52" s="9"/>
      <c r="G52" s="25"/>
      <c r="H52" s="9"/>
      <c r="I52" s="25"/>
      <c r="J52" s="9"/>
    </row>
    <row r="53" spans="4:10" ht="12.75">
      <c r="D53" s="9"/>
      <c r="E53" s="25"/>
      <c r="F53" s="9"/>
      <c r="G53" s="25"/>
      <c r="H53" s="9"/>
      <c r="I53" s="25"/>
      <c r="J53" s="9"/>
    </row>
  </sheetData>
  <mergeCells count="2">
    <mergeCell ref="D8:F8"/>
    <mergeCell ref="H8:J8"/>
  </mergeCells>
  <printOptions/>
  <pageMargins left="0.5" right="0.5" top="1.5" bottom="0.5" header="0.94" footer="0.25"/>
  <pageSetup fitToHeight="1" fitToWidth="1" horizontalDpi="600" verticalDpi="600" orientation="portrait" paperSize="9" r:id="rId1"/>
  <headerFooter alignWithMargins="0">
    <oddHeader>&amp;LACOUSTECH BERHAD (496665-W)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44.28125" style="2" customWidth="1"/>
    <col min="3" max="3" width="0.42578125" style="2" customWidth="1"/>
    <col min="4" max="4" width="18.57421875" style="3" customWidth="1"/>
    <col min="5" max="5" width="1.1484375" style="3" customWidth="1"/>
    <col min="6" max="6" width="18.57421875" style="3" customWidth="1"/>
    <col min="7" max="7" width="1.1484375" style="2" customWidth="1"/>
    <col min="8" max="8" width="17.140625" style="3" customWidth="1"/>
    <col min="9" max="16384" width="9.140625" style="2" customWidth="1"/>
  </cols>
  <sheetData>
    <row r="1" spans="1:8" ht="12.75">
      <c r="A1" s="22" t="s">
        <v>74</v>
      </c>
      <c r="H1" s="9"/>
    </row>
    <row r="2" ht="12.75">
      <c r="H2" s="9"/>
    </row>
    <row r="3" spans="1:8" ht="12.75">
      <c r="A3" s="22" t="s">
        <v>121</v>
      </c>
      <c r="H3" s="9"/>
    </row>
    <row r="4" spans="1:8" ht="12.75">
      <c r="A4" s="1" t="s">
        <v>75</v>
      </c>
      <c r="H4" s="9"/>
    </row>
    <row r="5" ht="12.75">
      <c r="H5" s="9"/>
    </row>
    <row r="6" spans="1:8" ht="12.75">
      <c r="A6" s="36" t="s">
        <v>125</v>
      </c>
      <c r="H6" s="9"/>
    </row>
    <row r="7" spans="2:8" ht="12.75">
      <c r="B7" s="1"/>
      <c r="D7" s="15" t="s">
        <v>76</v>
      </c>
      <c r="E7" s="13"/>
      <c r="F7" s="15" t="s">
        <v>77</v>
      </c>
      <c r="H7" s="9"/>
    </row>
    <row r="8" spans="4:8" ht="12.75">
      <c r="D8" s="13" t="s">
        <v>0</v>
      </c>
      <c r="E8" s="13"/>
      <c r="F8" s="13" t="s">
        <v>0</v>
      </c>
      <c r="G8" s="14"/>
      <c r="H8" s="31"/>
    </row>
    <row r="9" ht="4.5" customHeight="1">
      <c r="H9" s="9"/>
    </row>
    <row r="10" spans="2:8" ht="12.75">
      <c r="B10" s="1"/>
      <c r="H10" s="9"/>
    </row>
    <row r="11" ht="3.75" customHeight="1">
      <c r="H11" s="9"/>
    </row>
    <row r="12" spans="2:8" ht="12.75">
      <c r="B12" s="2" t="s">
        <v>2</v>
      </c>
      <c r="D12" s="3">
        <f>+'[2]CONSOL-BS'!$U$12/1000</f>
        <v>36967.27129</v>
      </c>
      <c r="F12" s="3">
        <f>37230934/1000</f>
        <v>37230.934</v>
      </c>
      <c r="H12" s="9"/>
    </row>
    <row r="13" ht="6" customHeight="1">
      <c r="H13" s="9"/>
    </row>
    <row r="14" spans="2:8" ht="12.75">
      <c r="B14" s="2" t="s">
        <v>3</v>
      </c>
      <c r="D14" s="3">
        <f>+'[2]CONSOL-BS'!$U$17/1000</f>
        <v>3836.456</v>
      </c>
      <c r="F14" s="3">
        <f>3524136/1000</f>
        <v>3524.136</v>
      </c>
      <c r="H14" s="9">
        <f>+D14-F14</f>
        <v>312.32000000000016</v>
      </c>
    </row>
    <row r="15" ht="5.25" customHeight="1">
      <c r="H15" s="9"/>
    </row>
    <row r="16" spans="2:8" ht="12.75">
      <c r="B16" s="2" t="s">
        <v>4</v>
      </c>
      <c r="D16" s="3">
        <f>+'[2]CONSOL-BS'!$U$20/1000</f>
        <v>2145.032</v>
      </c>
      <c r="F16" s="3">
        <f>2141256/1000</f>
        <v>2141.256</v>
      </c>
      <c r="H16" s="9">
        <f>+D16-F16</f>
        <v>3.7760000000002947</v>
      </c>
    </row>
    <row r="17" ht="9.75" customHeight="1">
      <c r="H17" s="9"/>
    </row>
    <row r="18" spans="2:8" ht="12.75">
      <c r="B18" s="2" t="s">
        <v>5</v>
      </c>
      <c r="H18" s="9"/>
    </row>
    <row r="19" spans="2:8" ht="12.75">
      <c r="B19" s="2" t="s">
        <v>6</v>
      </c>
      <c r="D19" s="16">
        <f>+'[2]CONSOL-BS'!$U$24/1000</f>
        <v>13756.1864</v>
      </c>
      <c r="E19" s="9"/>
      <c r="F19" s="16">
        <f>11825532/1000</f>
        <v>11825.532</v>
      </c>
      <c r="H19" s="9"/>
    </row>
    <row r="20" spans="2:8" ht="12.75">
      <c r="B20" s="2" t="s">
        <v>7</v>
      </c>
      <c r="D20" s="17">
        <f>+'[2]CONSOL-BS'!$U$25/1000</f>
        <v>93268.73384999999</v>
      </c>
      <c r="E20" s="9"/>
      <c r="F20" s="17">
        <f>89005299/1000</f>
        <v>89005.299</v>
      </c>
      <c r="H20" s="9"/>
    </row>
    <row r="21" spans="2:8" ht="12.75">
      <c r="B21" s="2" t="s">
        <v>8</v>
      </c>
      <c r="D21" s="17">
        <f>+'[2]CONSOL-BS'!$U$26/1000</f>
        <v>3558.861710000001</v>
      </c>
      <c r="E21" s="9"/>
      <c r="F21" s="17">
        <f>3148031/1000</f>
        <v>3148.031</v>
      </c>
      <c r="H21" s="9"/>
    </row>
    <row r="22" spans="2:8" ht="12.75">
      <c r="B22" s="2" t="s">
        <v>96</v>
      </c>
      <c r="D22" s="17">
        <f>+'[2]CONSOL-BS'!$U$32/1000</f>
        <v>2047.70035</v>
      </c>
      <c r="E22" s="9"/>
      <c r="F22" s="17">
        <f>1407748/1000</f>
        <v>1407.748</v>
      </c>
      <c r="H22" s="9"/>
    </row>
    <row r="23" spans="2:8" ht="12.75">
      <c r="B23" s="2" t="s">
        <v>9</v>
      </c>
      <c r="D23" s="17">
        <f>+'[2]CONSOL-BS'!$U$30/1000</f>
        <v>1069.89712</v>
      </c>
      <c r="E23" s="9"/>
      <c r="F23" s="17">
        <f>882821/1000</f>
        <v>882.821</v>
      </c>
      <c r="H23" s="9"/>
    </row>
    <row r="24" spans="2:8" ht="12.75">
      <c r="B24" s="2" t="s">
        <v>10</v>
      </c>
      <c r="D24" s="17">
        <f>+'[2]CONSOL-BS'!$U$38/1000</f>
        <v>12467.11695</v>
      </c>
      <c r="E24" s="9"/>
      <c r="F24" s="17">
        <f>11467117/1000</f>
        <v>11467.117</v>
      </c>
      <c r="H24" s="9"/>
    </row>
    <row r="25" spans="2:8" ht="12.75">
      <c r="B25" s="2" t="s">
        <v>11</v>
      </c>
      <c r="D25" s="18">
        <f>+'[2]CONSOL-BS'!$U$39/1000</f>
        <v>8030.13096</v>
      </c>
      <c r="E25" s="9"/>
      <c r="F25" s="18">
        <f>8889568/1000</f>
        <v>8889.568</v>
      </c>
      <c r="H25" s="9"/>
    </row>
    <row r="26" spans="4:8" ht="12.75">
      <c r="D26" s="18">
        <f>SUM(D19:D25)</f>
        <v>134198.62733999998</v>
      </c>
      <c r="E26" s="9"/>
      <c r="F26" s="18">
        <f>SUM(F19:F25)</f>
        <v>126626.11600000001</v>
      </c>
      <c r="H26" s="9"/>
    </row>
    <row r="27" ht="9" customHeight="1">
      <c r="H27" s="9"/>
    </row>
    <row r="28" ht="7.5" customHeight="1">
      <c r="H28" s="9"/>
    </row>
    <row r="29" spans="2:8" ht="12.75">
      <c r="B29" s="2" t="s">
        <v>12</v>
      </c>
      <c r="E29" s="9"/>
      <c r="F29" s="10"/>
      <c r="H29" s="9"/>
    </row>
    <row r="30" spans="2:8" ht="12.75">
      <c r="B30" s="2" t="s">
        <v>13</v>
      </c>
      <c r="D30" s="16">
        <f>+'[2]CONSOL-BS'!$U$44/1000</f>
        <v>21126.04522</v>
      </c>
      <c r="E30" s="9"/>
      <c r="F30" s="17">
        <f>17778068/1000</f>
        <v>17778.068</v>
      </c>
      <c r="H30" s="9"/>
    </row>
    <row r="31" spans="2:8" ht="12.75">
      <c r="B31" s="2" t="s">
        <v>108</v>
      </c>
      <c r="D31" s="17">
        <f>+'[2]CONSOL-BS'!$U$47/1000</f>
        <v>310.333</v>
      </c>
      <c r="E31" s="9"/>
      <c r="F31" s="17">
        <f>353459/1000</f>
        <v>353.459</v>
      </c>
      <c r="H31" s="9"/>
    </row>
    <row r="32" spans="2:8" ht="12.75">
      <c r="B32" s="2" t="s">
        <v>14</v>
      </c>
      <c r="D32" s="17">
        <f>+'[2]CONSOL-BS'!$U$45/1000</f>
        <v>1122.25389</v>
      </c>
      <c r="E32" s="9"/>
      <c r="F32" s="17">
        <f>7965516/1000</f>
        <v>7965.516</v>
      </c>
      <c r="H32" s="9"/>
    </row>
    <row r="33" spans="2:8" ht="12.75">
      <c r="B33" s="2" t="s">
        <v>109</v>
      </c>
      <c r="D33" s="17">
        <f>+'[2]CONSOL-BS'!$U$54/1000</f>
        <v>26749.536</v>
      </c>
      <c r="E33" s="9"/>
      <c r="F33" s="17">
        <f>20690643/1000</f>
        <v>20690.643</v>
      </c>
      <c r="H33" s="9"/>
    </row>
    <row r="34" spans="2:8" ht="12.75">
      <c r="B34" s="2" t="s">
        <v>15</v>
      </c>
      <c r="D34" s="18">
        <v>0</v>
      </c>
      <c r="E34" s="9"/>
      <c r="F34" s="18">
        <v>0</v>
      </c>
      <c r="H34" s="9"/>
    </row>
    <row r="35" spans="4:8" ht="12.75">
      <c r="D35" s="18">
        <f>SUM(D30:D34)</f>
        <v>49308.16811</v>
      </c>
      <c r="E35" s="9"/>
      <c r="F35" s="18">
        <f>SUM(F30:F34)</f>
        <v>46787.686</v>
      </c>
      <c r="H35" s="9"/>
    </row>
    <row r="36" ht="3.75" customHeight="1">
      <c r="H36" s="9"/>
    </row>
    <row r="37" spans="2:8" ht="15" customHeight="1">
      <c r="B37" s="2" t="s">
        <v>16</v>
      </c>
      <c r="D37" s="10">
        <f>+D26-D35</f>
        <v>84890.45922999998</v>
      </c>
      <c r="E37" s="9"/>
      <c r="F37" s="10">
        <f>+F26-F35</f>
        <v>79838.43000000001</v>
      </c>
      <c r="H37" s="9"/>
    </row>
    <row r="38" spans="4:8" ht="15" customHeight="1" thickBot="1">
      <c r="D38" s="19">
        <f>+D37+D16+D14+D12</f>
        <v>127839.21852</v>
      </c>
      <c r="E38" s="9"/>
      <c r="F38" s="19">
        <f>+F37+F12+F14+F16</f>
        <v>122734.756</v>
      </c>
      <c r="H38" s="9"/>
    </row>
    <row r="39" ht="13.5" thickTop="1">
      <c r="H39" s="9"/>
    </row>
    <row r="40" ht="0.75" customHeight="1">
      <c r="H40" s="9"/>
    </row>
    <row r="41" spans="2:8" ht="12.75">
      <c r="B41" s="1" t="s">
        <v>17</v>
      </c>
      <c r="H41" s="9"/>
    </row>
    <row r="42" spans="2:8" ht="12.75">
      <c r="B42" s="2" t="s">
        <v>18</v>
      </c>
      <c r="D42" s="3">
        <f>+'[1]CONSOL-BS'!$U$60/1000</f>
        <v>77999.9996</v>
      </c>
      <c r="E42" s="9"/>
      <c r="F42" s="9">
        <f>78000000/1000</f>
        <v>78000</v>
      </c>
      <c r="H42" s="9"/>
    </row>
    <row r="43" spans="5:8" ht="7.5" customHeight="1">
      <c r="E43" s="9"/>
      <c r="F43" s="9"/>
      <c r="H43" s="9"/>
    </row>
    <row r="44" spans="5:8" ht="7.5" customHeight="1">
      <c r="E44" s="9"/>
      <c r="F44" s="9"/>
      <c r="H44" s="9"/>
    </row>
    <row r="45" spans="2:8" ht="12.75">
      <c r="B45" s="2" t="s">
        <v>19</v>
      </c>
      <c r="D45" s="16"/>
      <c r="E45" s="9"/>
      <c r="F45" s="16"/>
      <c r="H45" s="9"/>
    </row>
    <row r="46" spans="2:8" ht="12.75">
      <c r="B46" s="2" t="s">
        <v>20</v>
      </c>
      <c r="D46" s="17">
        <f>+'[2]CONSOL-BS'!$U$70/1000</f>
        <v>40353.935974000015</v>
      </c>
      <c r="E46" s="9"/>
      <c r="F46" s="17">
        <f>34317277/1000</f>
        <v>34317.277</v>
      </c>
      <c r="H46" s="9">
        <f>+D46-F46</f>
        <v>6036.658974000013</v>
      </c>
    </row>
    <row r="47" spans="2:8" ht="12.75">
      <c r="B47" s="2" t="s">
        <v>21</v>
      </c>
      <c r="D47" s="18">
        <f>+'[2]CONSOL-BS'!$U$66/1000</f>
        <v>4700.642559999999</v>
      </c>
      <c r="E47" s="9"/>
      <c r="F47" s="18">
        <f>4700643/1000</f>
        <v>4700.643</v>
      </c>
      <c r="H47" s="9"/>
    </row>
    <row r="48" spans="4:8" ht="12.75">
      <c r="D48" s="10">
        <f>+D46+D47</f>
        <v>45054.578534000015</v>
      </c>
      <c r="E48" s="9"/>
      <c r="F48" s="10">
        <f>+F46+F47</f>
        <v>39017.92</v>
      </c>
      <c r="H48" s="9"/>
    </row>
    <row r="49" spans="2:8" ht="15" customHeight="1">
      <c r="B49" s="23" t="s">
        <v>78</v>
      </c>
      <c r="D49" s="20">
        <f>+D48+D42</f>
        <v>123054.57813400001</v>
      </c>
      <c r="E49" s="9"/>
      <c r="F49" s="10">
        <f>+F48+F42</f>
        <v>117017.92</v>
      </c>
      <c r="H49" s="9"/>
    </row>
    <row r="50" ht="9" customHeight="1">
      <c r="H50" s="9"/>
    </row>
    <row r="51" spans="2:8" ht="12.75">
      <c r="B51" s="2" t="s">
        <v>22</v>
      </c>
      <c r="H51" s="9"/>
    </row>
    <row r="52" spans="2:8" ht="12.75">
      <c r="B52" s="2" t="s">
        <v>23</v>
      </c>
      <c r="D52" s="3">
        <f>+'[2]CONSOL-BS'!$U$76/1000</f>
        <v>3410.64058</v>
      </c>
      <c r="F52" s="3">
        <f>4342836/1000</f>
        <v>4342.836</v>
      </c>
      <c r="H52" s="9"/>
    </row>
    <row r="53" spans="2:8" ht="12.75">
      <c r="B53" s="2" t="s">
        <v>24</v>
      </c>
      <c r="D53" s="3">
        <f>+'[2]CONSOL-BS'!$U$77/1000</f>
        <v>1374</v>
      </c>
      <c r="F53" s="3">
        <f>1374000/1000</f>
        <v>1374</v>
      </c>
      <c r="H53" s="9"/>
    </row>
    <row r="54" spans="4:8" ht="13.5" thickBot="1">
      <c r="D54" s="19">
        <f>+D49+D52+D53</f>
        <v>127839.21871400002</v>
      </c>
      <c r="E54" s="9"/>
      <c r="F54" s="19">
        <f>+F49+F52+F53</f>
        <v>122734.756</v>
      </c>
      <c r="H54" s="9"/>
    </row>
    <row r="55" ht="8.25" customHeight="1" thickTop="1">
      <c r="H55" s="9"/>
    </row>
    <row r="56" spans="2:8" ht="12.75">
      <c r="B56" s="2" t="s">
        <v>25</v>
      </c>
      <c r="D56" s="21">
        <f>+D49/D42</f>
        <v>1.577622804680117</v>
      </c>
      <c r="E56" s="21"/>
      <c r="F56" s="21">
        <f>+F49/F42</f>
        <v>1.5002297435897436</v>
      </c>
      <c r="H56" s="9"/>
    </row>
    <row r="57" ht="12.75">
      <c r="H57" s="9"/>
    </row>
    <row r="58" spans="1:8" ht="12.75">
      <c r="A58" s="1" t="s">
        <v>99</v>
      </c>
      <c r="H58" s="9"/>
    </row>
    <row r="59" ht="12.75">
      <c r="A59" s="1" t="s">
        <v>98</v>
      </c>
    </row>
    <row r="60" spans="4:6" ht="12.75">
      <c r="D60" s="21">
        <f>+(D38-D54)*1000</f>
        <v>-0.19400002202019095</v>
      </c>
      <c r="F60" s="3">
        <f>+F38-F54</f>
        <v>0</v>
      </c>
    </row>
  </sheetData>
  <printOptions/>
  <pageMargins left="0.78" right="0.5" top="1.5" bottom="0.5" header="0.25" footer="0.25"/>
  <pageSetup fitToHeight="1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B1" sqref="B1"/>
    </sheetView>
  </sheetViews>
  <sheetFormatPr defaultColWidth="9.140625" defaultRowHeight="12.75"/>
  <cols>
    <col min="1" max="1" width="1.28515625" style="2" customWidth="1"/>
    <col min="2" max="2" width="35.421875" style="2" customWidth="1"/>
    <col min="3" max="3" width="0.71875" style="2" customWidth="1"/>
    <col min="4" max="4" width="13.7109375" style="2" customWidth="1"/>
    <col min="5" max="5" width="0.85546875" style="2" customWidth="1"/>
    <col min="6" max="6" width="13.7109375" style="2" customWidth="1"/>
    <col min="7" max="7" width="0.85546875" style="2" customWidth="1"/>
    <col min="8" max="8" width="13.7109375" style="2" customWidth="1"/>
    <col min="9" max="9" width="0.85546875" style="2" customWidth="1"/>
    <col min="10" max="10" width="13.7109375" style="2" customWidth="1"/>
    <col min="11" max="16384" width="9.140625" style="2" customWidth="1"/>
  </cols>
  <sheetData>
    <row r="1" ht="12.75">
      <c r="A1" s="22" t="s">
        <v>74</v>
      </c>
    </row>
    <row r="3" ht="12.75">
      <c r="A3" s="22" t="s">
        <v>121</v>
      </c>
    </row>
    <row r="4" ht="12.75">
      <c r="A4" s="1" t="s">
        <v>75</v>
      </c>
    </row>
    <row r="6" ht="12.75">
      <c r="A6" s="1" t="s">
        <v>126</v>
      </c>
    </row>
    <row r="8" spans="4:10" ht="12.75">
      <c r="D8" s="30" t="s">
        <v>71</v>
      </c>
      <c r="E8" s="1"/>
      <c r="F8" s="14" t="s">
        <v>71</v>
      </c>
      <c r="G8" s="1"/>
      <c r="H8" s="14" t="s">
        <v>69</v>
      </c>
      <c r="I8" s="1"/>
      <c r="J8" s="14" t="s">
        <v>73</v>
      </c>
    </row>
    <row r="9" spans="4:10" ht="12.75">
      <c r="D9" s="14" t="s">
        <v>94</v>
      </c>
      <c r="E9" s="1"/>
      <c r="F9" s="14" t="s">
        <v>72</v>
      </c>
      <c r="G9" s="1"/>
      <c r="H9" s="14" t="s">
        <v>70</v>
      </c>
      <c r="I9" s="1"/>
      <c r="J9" s="14"/>
    </row>
    <row r="10" spans="4:10" ht="12.75">
      <c r="D10" s="30" t="s">
        <v>0</v>
      </c>
      <c r="E10" s="1"/>
      <c r="F10" s="30" t="s">
        <v>0</v>
      </c>
      <c r="G10" s="14"/>
      <c r="H10" s="30" t="s">
        <v>0</v>
      </c>
      <c r="I10" s="1"/>
      <c r="J10" s="30" t="s">
        <v>0</v>
      </c>
    </row>
    <row r="12" ht="12.75">
      <c r="B12" s="23" t="s">
        <v>92</v>
      </c>
    </row>
    <row r="14" spans="2:10" ht="12.75">
      <c r="B14" s="2" t="s">
        <v>93</v>
      </c>
      <c r="D14" s="3">
        <f>+'balance sheet'!F42</f>
        <v>78000</v>
      </c>
      <c r="E14" s="3"/>
      <c r="F14" s="3">
        <f>+'balance sheet'!F47</f>
        <v>4700.643</v>
      </c>
      <c r="G14" s="3"/>
      <c r="H14" s="3">
        <f>+'balance sheet'!F46</f>
        <v>34317.277</v>
      </c>
      <c r="I14" s="3"/>
      <c r="J14" s="3">
        <f>+D14+F14+H14</f>
        <v>117017.92</v>
      </c>
    </row>
    <row r="15" spans="4:10" ht="12.75">
      <c r="D15" s="3"/>
      <c r="E15" s="3"/>
      <c r="F15" s="3"/>
      <c r="G15" s="3"/>
      <c r="H15" s="3"/>
      <c r="I15" s="3"/>
      <c r="J15" s="3"/>
    </row>
    <row r="16" spans="2:10" ht="12.75">
      <c r="B16" s="2" t="s">
        <v>127</v>
      </c>
      <c r="D16" s="3">
        <v>0</v>
      </c>
      <c r="E16" s="3"/>
      <c r="F16" s="3">
        <v>0</v>
      </c>
      <c r="G16" s="3"/>
      <c r="H16" s="3">
        <f>+'income stat'!H37</f>
        <v>6036.659864000016</v>
      </c>
      <c r="I16" s="3"/>
      <c r="J16" s="3">
        <f>+D16+F16+H16</f>
        <v>6036.659864000016</v>
      </c>
    </row>
    <row r="17" spans="4:10" ht="12.75">
      <c r="D17" s="3"/>
      <c r="E17" s="3"/>
      <c r="F17" s="3"/>
      <c r="G17" s="3"/>
      <c r="H17" s="3"/>
      <c r="I17" s="3"/>
      <c r="J17" s="3"/>
    </row>
    <row r="18" spans="2:10" ht="13.5" thickBot="1">
      <c r="B18" s="2" t="s">
        <v>95</v>
      </c>
      <c r="D18" s="19">
        <f>+D14+D16</f>
        <v>78000</v>
      </c>
      <c r="E18" s="3"/>
      <c r="F18" s="19">
        <f>+F14+F16</f>
        <v>4700.643</v>
      </c>
      <c r="G18" s="3"/>
      <c r="H18" s="19">
        <f>+H14+H16</f>
        <v>40353.93686400002</v>
      </c>
      <c r="I18" s="3"/>
      <c r="J18" s="19">
        <f>+J14+J16</f>
        <v>123054.57986400001</v>
      </c>
    </row>
    <row r="19" spans="4:10" ht="13.5" thickTop="1">
      <c r="D19" s="3"/>
      <c r="E19" s="3"/>
      <c r="F19" s="3"/>
      <c r="G19" s="3"/>
      <c r="H19" s="3"/>
      <c r="I19" s="3"/>
      <c r="J19" s="3"/>
    </row>
    <row r="20" spans="4:10" ht="12.75">
      <c r="D20" s="3"/>
      <c r="E20" s="3"/>
      <c r="F20" s="3"/>
      <c r="G20" s="3"/>
      <c r="H20" s="3"/>
      <c r="I20" s="3"/>
      <c r="J20" s="3"/>
    </row>
    <row r="21" spans="1:10" ht="12.75">
      <c r="A21" s="1" t="s">
        <v>100</v>
      </c>
      <c r="D21" s="3"/>
      <c r="E21" s="3"/>
      <c r="F21" s="3"/>
      <c r="G21" s="3"/>
      <c r="H21" s="3"/>
      <c r="I21" s="3"/>
      <c r="J21" s="3"/>
    </row>
    <row r="22" spans="1:10" ht="12.75">
      <c r="A22" s="1" t="s">
        <v>101</v>
      </c>
      <c r="D22" s="3"/>
      <c r="E22" s="3"/>
      <c r="F22" s="3"/>
      <c r="G22" s="3"/>
      <c r="H22" s="3"/>
      <c r="I22" s="3"/>
      <c r="J22" s="3"/>
    </row>
    <row r="23" spans="4:10" ht="12.75">
      <c r="D23" s="3"/>
      <c r="E23" s="3"/>
      <c r="F23" s="3"/>
      <c r="G23" s="3"/>
      <c r="H23" s="3"/>
      <c r="I23" s="3"/>
      <c r="J23" s="3"/>
    </row>
    <row r="24" spans="4:10" ht="12.75">
      <c r="D24" s="3"/>
      <c r="E24" s="3"/>
      <c r="F24" s="3"/>
      <c r="G24" s="3"/>
      <c r="H24" s="3"/>
      <c r="I24" s="3"/>
      <c r="J24" s="3"/>
    </row>
  </sheetData>
  <printOptions/>
  <pageMargins left="0.5" right="0.5" top="1.5" bottom="0.5" header="0.25" footer="0.25"/>
  <pageSetup fitToHeight="1" fitToWidth="1" horizontalDpi="360" verticalDpi="36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65">
      <selection activeCell="A65" sqref="A65"/>
    </sheetView>
  </sheetViews>
  <sheetFormatPr defaultColWidth="9.140625" defaultRowHeight="12.75"/>
  <cols>
    <col min="1" max="1" width="2.140625" style="2" customWidth="1"/>
    <col min="2" max="2" width="45.7109375" style="2" customWidth="1"/>
    <col min="3" max="3" width="5.7109375" style="2" customWidth="1"/>
    <col min="4" max="4" width="15.7109375" style="3" customWidth="1"/>
    <col min="5" max="5" width="3.7109375" style="2" customWidth="1"/>
    <col min="6" max="6" width="15.7109375" style="3" hidden="1" customWidth="1"/>
    <col min="7" max="16384" width="9.140625" style="2" customWidth="1"/>
  </cols>
  <sheetData>
    <row r="1" ht="12.75">
      <c r="A1" s="22" t="s">
        <v>74</v>
      </c>
    </row>
    <row r="3" ht="12.75">
      <c r="A3" s="22" t="s">
        <v>121</v>
      </c>
    </row>
    <row r="4" ht="12.75">
      <c r="A4" s="1" t="s">
        <v>75</v>
      </c>
    </row>
    <row r="5" ht="12.75">
      <c r="A5" s="22"/>
    </row>
    <row r="6" ht="12.75">
      <c r="A6" s="22" t="s">
        <v>128</v>
      </c>
    </row>
    <row r="8" ht="12.75" hidden="1"/>
    <row r="9" spans="4:6" ht="12.75" hidden="1">
      <c r="D9" s="15"/>
      <c r="E9" s="1"/>
      <c r="F9" s="15" t="s">
        <v>34</v>
      </c>
    </row>
    <row r="10" spans="4:6" ht="12.75">
      <c r="D10" s="13" t="s">
        <v>0</v>
      </c>
      <c r="E10" s="1"/>
      <c r="F10" s="13" t="s">
        <v>0</v>
      </c>
    </row>
    <row r="12" ht="12.75">
      <c r="B12" s="1" t="s">
        <v>47</v>
      </c>
    </row>
    <row r="13" ht="3.75" customHeight="1"/>
    <row r="14" spans="2:6" ht="12.75">
      <c r="B14" s="2" t="s">
        <v>35</v>
      </c>
      <c r="D14" s="3">
        <f>+'[2]CONSOL-CF'!$V$10/1000</f>
        <v>8139.248864000011</v>
      </c>
      <c r="F14" s="3">
        <v>13526</v>
      </c>
    </row>
    <row r="15" ht="4.5" customHeight="1"/>
    <row r="16" ht="12.75">
      <c r="B16" s="2" t="s">
        <v>110</v>
      </c>
    </row>
    <row r="17" ht="4.5" customHeight="1"/>
    <row r="18" spans="2:6" ht="12.75">
      <c r="B18" s="23" t="s">
        <v>38</v>
      </c>
      <c r="D18" s="3">
        <f>+'[2]CONSOL-CF'!$V$14/1000</f>
        <v>1320.815</v>
      </c>
      <c r="F18" s="3">
        <v>2519</v>
      </c>
    </row>
    <row r="19" spans="2:6" ht="12.75">
      <c r="B19" s="23" t="s">
        <v>112</v>
      </c>
      <c r="D19" s="3">
        <f>+'[2]CONSOL-CF'!$V$24/1000</f>
        <v>31.07</v>
      </c>
      <c r="F19" s="3">
        <v>-4</v>
      </c>
    </row>
    <row r="20" spans="2:6" ht="12.75">
      <c r="B20" s="23" t="s">
        <v>39</v>
      </c>
      <c r="D20" s="3">
        <f>+'[2]CONSOL-CF'!$V$18/1000</f>
        <v>586.217</v>
      </c>
      <c r="F20" s="3">
        <v>1287</v>
      </c>
    </row>
    <row r="21" spans="2:6" ht="12.75">
      <c r="B21" s="2" t="s">
        <v>40</v>
      </c>
      <c r="D21" s="3">
        <f>+'[2]CONSOL-CF'!$V$22/1000</f>
        <v>-66.65</v>
      </c>
      <c r="F21" s="3">
        <v>-382</v>
      </c>
    </row>
    <row r="22" spans="2:6" s="34" customFormat="1" ht="12.75">
      <c r="B22" s="34" t="s">
        <v>41</v>
      </c>
      <c r="D22" s="35">
        <f>+'[2]CONSOL-CF'!$V$26/1000</f>
        <v>340.525</v>
      </c>
      <c r="F22" s="35">
        <v>341</v>
      </c>
    </row>
    <row r="23" spans="2:6" s="34" customFormat="1" ht="12.75" hidden="1">
      <c r="B23" s="34" t="s">
        <v>57</v>
      </c>
      <c r="D23" s="35"/>
      <c r="F23" s="35">
        <v>8</v>
      </c>
    </row>
    <row r="24" ht="12.75" hidden="1">
      <c r="B24" s="2" t="s">
        <v>58</v>
      </c>
    </row>
    <row r="25" spans="2:6" ht="12.75" hidden="1">
      <c r="B25" s="2" t="s">
        <v>59</v>
      </c>
      <c r="F25" s="3">
        <v>-25</v>
      </c>
    </row>
    <row r="26" spans="2:6" ht="12.75">
      <c r="B26" s="23" t="s">
        <v>36</v>
      </c>
      <c r="D26" s="3">
        <f>+'[2]CONSOL-CF'!$V$20/1000</f>
        <v>-354.909</v>
      </c>
      <c r="F26" s="3">
        <v>-132</v>
      </c>
    </row>
    <row r="27" spans="2:6" ht="12.75">
      <c r="B27" s="23" t="s">
        <v>37</v>
      </c>
      <c r="D27" s="10">
        <f>+'[2]CONSOL-CF'!$V$21/1000</f>
        <v>-3.776</v>
      </c>
      <c r="F27" s="10">
        <v>-221</v>
      </c>
    </row>
    <row r="28" ht="4.5" customHeight="1"/>
    <row r="29" spans="2:6" ht="12.75">
      <c r="B29" s="2" t="s">
        <v>115</v>
      </c>
      <c r="D29" s="3">
        <f>SUM(D14:D27)</f>
        <v>9992.540864000011</v>
      </c>
      <c r="F29" s="3">
        <f>SUM(F14:F27)</f>
        <v>16917</v>
      </c>
    </row>
    <row r="30" ht="4.5" customHeight="1"/>
    <row r="31" spans="2:6" ht="12.75">
      <c r="B31" s="2" t="s">
        <v>106</v>
      </c>
      <c r="D31" s="3">
        <f>+'[2]CONSOL-CF'!$V$30/1000</f>
        <v>-1930.653</v>
      </c>
      <c r="F31" s="3">
        <v>4098</v>
      </c>
    </row>
    <row r="32" spans="2:6" ht="12.75">
      <c r="B32" s="23" t="s">
        <v>42</v>
      </c>
      <c r="D32" s="3">
        <f>+'[2]CONSOL-CF'!$V$31/1000</f>
        <v>-4658.975</v>
      </c>
      <c r="F32" s="3">
        <v>-20011</v>
      </c>
    </row>
    <row r="33" spans="2:6" ht="12.75">
      <c r="B33" s="23" t="s">
        <v>111</v>
      </c>
      <c r="D33" s="3">
        <f>+'[2]CONSOL-CF'!$V$32/1000</f>
        <v>-410.831</v>
      </c>
      <c r="F33" s="3">
        <v>1651</v>
      </c>
    </row>
    <row r="34" spans="2:6" ht="12.75">
      <c r="B34" s="23" t="s">
        <v>107</v>
      </c>
      <c r="D34" s="3">
        <f>+'[2]CONSOL-CF'!$V$33/1000</f>
        <v>3402.992</v>
      </c>
      <c r="F34" s="3">
        <v>-9064</v>
      </c>
    </row>
    <row r="35" spans="2:6" ht="12.75">
      <c r="B35" s="28" t="s">
        <v>113</v>
      </c>
      <c r="D35" s="3">
        <f>+'[2]CONSOL-CF'!$V$34/1000</f>
        <v>-43.126</v>
      </c>
      <c r="F35" s="3">
        <v>-92</v>
      </c>
    </row>
    <row r="36" spans="2:6" ht="12.75">
      <c r="B36" s="2" t="s">
        <v>43</v>
      </c>
      <c r="D36" s="10">
        <f>+'[2]CONSOL-CF'!$V$36/1000</f>
        <v>-343.263</v>
      </c>
      <c r="F36" s="10">
        <v>-175</v>
      </c>
    </row>
    <row r="37" ht="4.5" customHeight="1"/>
    <row r="38" spans="2:6" ht="12.75">
      <c r="B38" s="2" t="s">
        <v>114</v>
      </c>
      <c r="D38" s="3">
        <f>SUM(D29:D36)</f>
        <v>6008.684864000011</v>
      </c>
      <c r="F38" s="3">
        <f>SUM(F29:F36)</f>
        <v>-6676</v>
      </c>
    </row>
    <row r="39" ht="4.5" customHeight="1"/>
    <row r="40" spans="2:6" ht="12.75">
      <c r="B40" s="2" t="s">
        <v>44</v>
      </c>
      <c r="D40" s="3">
        <f>+'[2]CONSOL-CF'!$V$40/1000</f>
        <v>-366.379</v>
      </c>
      <c r="F40" s="3">
        <v>-741</v>
      </c>
    </row>
    <row r="41" spans="2:6" ht="12.75">
      <c r="B41" s="2" t="s">
        <v>45</v>
      </c>
      <c r="D41" s="10">
        <f>+'[2]CONSOL-CF'!$V$41/1000</f>
        <v>-2247.076</v>
      </c>
      <c r="F41" s="10">
        <v>-5078</v>
      </c>
    </row>
    <row r="42" ht="4.5" customHeight="1"/>
    <row r="43" spans="2:6" ht="12.75">
      <c r="B43" s="2" t="s">
        <v>116</v>
      </c>
      <c r="D43" s="3">
        <f>+D38+D40+D41</f>
        <v>3395.229864000011</v>
      </c>
      <c r="F43" s="3">
        <f>+F38+F40+F41</f>
        <v>-12495</v>
      </c>
    </row>
    <row r="44" ht="4.5" customHeight="1"/>
    <row r="45" ht="12.75">
      <c r="B45" s="1" t="s">
        <v>46</v>
      </c>
    </row>
    <row r="46" ht="4.5" customHeight="1"/>
    <row r="47" spans="2:6" ht="12.75" hidden="1">
      <c r="B47" s="2" t="s">
        <v>48</v>
      </c>
      <c r="D47" s="3">
        <v>0</v>
      </c>
      <c r="F47" s="3">
        <v>144</v>
      </c>
    </row>
    <row r="48" spans="2:6" ht="12.75">
      <c r="B48" s="2" t="s">
        <v>49</v>
      </c>
      <c r="D48" s="16">
        <f>+'[2]CONSOL-CF'!$V$50/1000</f>
        <v>66.65</v>
      </c>
      <c r="F48" s="16">
        <v>382</v>
      </c>
    </row>
    <row r="49" spans="2:6" ht="12.75" hidden="1">
      <c r="B49" s="28" t="s">
        <v>60</v>
      </c>
      <c r="D49" s="17"/>
      <c r="F49" s="17"/>
    </row>
    <row r="50" spans="2:6" ht="12.75" hidden="1">
      <c r="B50" s="28" t="s">
        <v>61</v>
      </c>
      <c r="D50" s="17"/>
      <c r="F50" s="17">
        <v>-1500</v>
      </c>
    </row>
    <row r="51" spans="2:6" ht="12.75">
      <c r="B51" s="2" t="s">
        <v>50</v>
      </c>
      <c r="D51" s="17">
        <f>+'[2]CONSOL-CF'!$V$55/1000</f>
        <v>-7676.223</v>
      </c>
      <c r="F51" s="17">
        <v>-1200</v>
      </c>
    </row>
    <row r="52" spans="2:6" ht="12.75">
      <c r="B52" s="2" t="s">
        <v>117</v>
      </c>
      <c r="D52" s="18">
        <f>+'[2]CONSOL-CF'!$V$53/1000</f>
        <v>88</v>
      </c>
      <c r="F52" s="18">
        <v>7</v>
      </c>
    </row>
    <row r="53" ht="4.5" customHeight="1"/>
    <row r="54" spans="2:6" ht="12.75">
      <c r="B54" s="2" t="s">
        <v>118</v>
      </c>
      <c r="D54" s="3">
        <f>SUM(D47:D52)</f>
        <v>-7521.573</v>
      </c>
      <c r="F54" s="3">
        <f>SUM(F47:F52)</f>
        <v>-2167</v>
      </c>
    </row>
    <row r="55" ht="4.5" customHeight="1"/>
    <row r="56" ht="12.75">
      <c r="B56" s="1" t="s">
        <v>51</v>
      </c>
    </row>
    <row r="57" ht="4.5" customHeight="1">
      <c r="B57" s="1"/>
    </row>
    <row r="58" spans="2:6" ht="13.5" customHeight="1">
      <c r="B58" s="2" t="s">
        <v>62</v>
      </c>
      <c r="D58" s="16">
        <f>+'[2]CONSOL-CF'!$V$70/1000</f>
        <v>-639.9523500000001</v>
      </c>
      <c r="F58" s="16">
        <v>-1408</v>
      </c>
    </row>
    <row r="59" spans="2:6" ht="13.5" customHeight="1" hidden="1">
      <c r="B59" s="2" t="s">
        <v>63</v>
      </c>
      <c r="D59" s="17">
        <v>0</v>
      </c>
      <c r="F59" s="17">
        <v>19200</v>
      </c>
    </row>
    <row r="60" spans="2:6" ht="12.75" hidden="1">
      <c r="B60" s="2" t="s">
        <v>52</v>
      </c>
      <c r="D60" s="17"/>
      <c r="F60" s="17">
        <v>-2499</v>
      </c>
    </row>
    <row r="61" spans="2:6" ht="12.75">
      <c r="B61" s="2" t="s">
        <v>53</v>
      </c>
      <c r="D61" s="17">
        <f>+'[2]CONSOL-CF'!$V$79/1000</f>
        <v>-219.838</v>
      </c>
      <c r="F61" s="17">
        <v>-546</v>
      </c>
    </row>
    <row r="62" spans="2:6" ht="12.75" hidden="1">
      <c r="B62" s="2" t="s">
        <v>64</v>
      </c>
      <c r="D62" s="17"/>
      <c r="F62" s="17"/>
    </row>
    <row r="63" spans="2:6" ht="12.75" hidden="1">
      <c r="B63" s="2" t="s">
        <v>65</v>
      </c>
      <c r="D63" s="17"/>
      <c r="F63" s="17">
        <v>25</v>
      </c>
    </row>
    <row r="64" spans="2:6" ht="12.75">
      <c r="B64" s="2" t="s">
        <v>66</v>
      </c>
      <c r="D64" s="17">
        <f>+'[2]CONSOL-CF'!$V$78/1000</f>
        <v>-688.3024199999999</v>
      </c>
      <c r="F64" s="17">
        <v>-991</v>
      </c>
    </row>
    <row r="65" spans="2:6" ht="12.75">
      <c r="B65" s="2" t="s">
        <v>54</v>
      </c>
      <c r="D65" s="18">
        <f>+'[2]CONSOL-CF'!$V$65/1000</f>
        <v>5815.00042</v>
      </c>
      <c r="F65" s="18">
        <v>4217</v>
      </c>
    </row>
    <row r="66" ht="12.75" hidden="1">
      <c r="B66" s="2" t="s">
        <v>67</v>
      </c>
    </row>
    <row r="67" spans="2:6" ht="12.75" hidden="1">
      <c r="B67" s="2" t="s">
        <v>68</v>
      </c>
      <c r="D67" s="10"/>
      <c r="F67" s="10">
        <v>-3900</v>
      </c>
    </row>
    <row r="68" ht="4.5" customHeight="1"/>
    <row r="69" spans="2:6" ht="12.75">
      <c r="B69" s="2" t="s">
        <v>55</v>
      </c>
      <c r="D69" s="10">
        <f>SUM(D58:D67)</f>
        <v>4266.90765</v>
      </c>
      <c r="F69" s="10">
        <f>SUM(F58:F67)</f>
        <v>14098</v>
      </c>
    </row>
    <row r="70" ht="4.5" customHeight="1"/>
    <row r="71" spans="2:6" ht="12.75">
      <c r="B71" s="2" t="s">
        <v>56</v>
      </c>
      <c r="D71" s="3">
        <f>+D43+D54+D69</f>
        <v>140.5645140000106</v>
      </c>
      <c r="F71" s="3">
        <f>+F43+F54+F69</f>
        <v>-564</v>
      </c>
    </row>
    <row r="72" ht="4.5" customHeight="1"/>
    <row r="73" spans="2:6" ht="12.75">
      <c r="B73" s="2" t="s">
        <v>119</v>
      </c>
      <c r="D73" s="3">
        <f>+F75</f>
        <v>20356</v>
      </c>
      <c r="F73" s="3">
        <v>20920</v>
      </c>
    </row>
    <row r="74" ht="4.5" customHeight="1"/>
    <row r="75" spans="2:6" ht="13.5" thickBot="1">
      <c r="B75" s="2" t="s">
        <v>120</v>
      </c>
      <c r="D75" s="19">
        <f>+D71+D73</f>
        <v>20496.564514000012</v>
      </c>
      <c r="F75" s="19">
        <f>+F71+F73</f>
        <v>20356</v>
      </c>
    </row>
    <row r="76" spans="4:6" ht="13.5" thickTop="1">
      <c r="D76" s="2"/>
      <c r="F76" s="2"/>
    </row>
    <row r="77" ht="12.75">
      <c r="D77" s="33"/>
    </row>
    <row r="78" ht="12.75">
      <c r="A78" s="1" t="s">
        <v>103</v>
      </c>
    </row>
    <row r="79" ht="12.75">
      <c r="A79" s="1" t="s">
        <v>98</v>
      </c>
    </row>
  </sheetData>
  <printOptions/>
  <pageMargins left="1.23" right="0.5" top="1.5" bottom="0.25" header="0.25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Donna</cp:lastModifiedBy>
  <cp:lastPrinted>2002-11-26T06:54:59Z</cp:lastPrinted>
  <dcterms:created xsi:type="dcterms:W3CDTF">1996-10-14T23:33:28Z</dcterms:created>
  <dcterms:modified xsi:type="dcterms:W3CDTF">2002-11-26T06:55:05Z</dcterms:modified>
  <cp:category/>
  <cp:version/>
  <cp:contentType/>
  <cp:contentStatus/>
</cp:coreProperties>
</file>